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Downloads\"/>
    </mc:Choice>
  </mc:AlternateContent>
  <xr:revisionPtr revIDLastSave="0" documentId="13_ncr:1_{A965B294-A7DC-4C04-B50F-C1C4EA791EE6}" xr6:coauthVersionLast="36" xr6:coauthVersionMax="36" xr10:uidLastSave="{00000000-0000-0000-0000-000000000000}"/>
  <bookViews>
    <workbookView xWindow="0" yWindow="0" windowWidth="19200" windowHeight="6930" xr2:uid="{7F71ACF9-5DC0-466C-B7FB-D5ECEF341837}"/>
  </bookViews>
  <sheets>
    <sheet name="Execucação orçament-Trimest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  <c r="AH5" i="1"/>
  <c r="AI14" i="1"/>
  <c r="AI16" i="1"/>
  <c r="AI15" i="1"/>
  <c r="AI12" i="1"/>
  <c r="AI11" i="1"/>
  <c r="AI10" i="1"/>
  <c r="AI9" i="1"/>
  <c r="AH16" i="1"/>
  <c r="AH15" i="1"/>
  <c r="AH14" i="1"/>
  <c r="AH12" i="1"/>
  <c r="AH11" i="1"/>
  <c r="AH10" i="1"/>
  <c r="AH9" i="1"/>
  <c r="AG16" i="1" l="1"/>
  <c r="AF16" i="1"/>
  <c r="AG15" i="1"/>
  <c r="AF15" i="1"/>
  <c r="AG14" i="1"/>
  <c r="AF14" i="1"/>
  <c r="AG12" i="1"/>
  <c r="AF12" i="1"/>
  <c r="AG11" i="1"/>
  <c r="AF11" i="1"/>
  <c r="AG10" i="1"/>
  <c r="AF10" i="1"/>
  <c r="AG9" i="1"/>
  <c r="AF9" i="1"/>
  <c r="AG6" i="1"/>
  <c r="AF6" i="1"/>
  <c r="AG5" i="1"/>
  <c r="AF5" i="1"/>
  <c r="AN11" i="1" l="1"/>
  <c r="AN10" i="1"/>
  <c r="AN8" i="1" s="1"/>
  <c r="AN5" i="1"/>
  <c r="AN4" i="1" s="1"/>
  <c r="AF8" i="1"/>
  <c r="AG8" i="1"/>
  <c r="AF4" i="1"/>
  <c r="AG4" i="1"/>
  <c r="AO8" i="1"/>
  <c r="AM8" i="1"/>
  <c r="AL8" i="1"/>
  <c r="AK8" i="1"/>
  <c r="AJ8" i="1"/>
  <c r="AI8" i="1"/>
  <c r="AH8" i="1"/>
  <c r="AO4" i="1"/>
  <c r="AM4" i="1"/>
  <c r="AL4" i="1"/>
  <c r="AK4" i="1"/>
  <c r="AJ4" i="1"/>
  <c r="AI4" i="1"/>
  <c r="AH4" i="1"/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<sst xmlns="http://schemas.openxmlformats.org/spreadsheetml/2006/main" count="96" uniqueCount="28">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</sst>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.ribeiro/OneDrive%20-%20ppsa.gov.br/03%20DAF/4-OR&#199;AMENTO/1-SIEST/2024/06.2024/SIEST_SIOP_CONFIS-RDE%20-%2006.2024%20_Com%20balancetes%20atualizados%20at&#233;%20ma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Conta Endividamento"/>
      <sheetName val="PLANO DE CONTAS NOVO"/>
      <sheetName val="PPSA 13"/>
      <sheetName val="PPSA 07"/>
      <sheetName val="PPSA 08"/>
      <sheetName val="PPSA 09"/>
      <sheetName val="PPSA 10"/>
      <sheetName val="PPSA 11"/>
      <sheetName val="PPSA 12"/>
      <sheetName val="PPSA 01"/>
      <sheetName val="PPSA 02"/>
      <sheetName val="PPSA 03"/>
      <sheetName val="PPSA 04"/>
      <sheetName val="PPSA 05"/>
      <sheetName val="PPSA 06"/>
      <sheetName val="Base-Balancete X Dicor"/>
      <sheetName val="Base-Balancete X Endividamento"/>
      <sheetName val="Out - Tabela Endividamento."/>
      <sheetName val="Base-Balancete X Dicar "/>
      <sheetName val="REMANEJAMENTO"/>
      <sheetName val="Base-Balancete X SIOP"/>
      <sheetName val="Out - Tabela DICOR"/>
      <sheetName val="Out - Tabela SIOP."/>
      <sheetName val="Out - Tabela DICAR"/>
      <sheetName val="Base-PPSA_BAL_ACUM"/>
      <sheetName val="Out-PPSA BP_2023 X 2024"/>
      <sheetName val="Out_PPSA DRE_2023 X 2024"/>
      <sheetName val="Out-PPSA INDICADORES-CF"/>
      <sheetName val="Out-PPSA_DRE ORÇADO X REALIZADO"/>
      <sheetName val="Out DICOR DICAR (Real X Orçado)"/>
      <sheetName val="Planilha1"/>
      <sheetName val="DRE PDG 2021 x Realizado"/>
      <sheetName val="OUT-indicadores para 2024"/>
      <sheetName val="FCX PROJEÇÃO - RDE"/>
      <sheetName val="DRE PROJEÇÃO - RDE"/>
      <sheetName val="OUT-PROJEÇÃO DRE 2024 RDE"/>
      <sheetName val="PPSA_BAL_MÊS-BASE RDE"/>
      <sheetName val="Base-Indicadores"/>
      <sheetName val="LIQUIDES CORRENTE"/>
      <sheetName val="RAC-Despesas"/>
      <sheetName val="RAC-Receitas"/>
      <sheetName val="RAC-Investimentos"/>
      <sheetName val="Base RAC Investimeno PDG-USOS"/>
      <sheetName val="ACOMPANHAMENTO OI COFINS"/>
      <sheetName val="PDG DRE MENSAL 2021 REPROGRAM"/>
      <sheetName val="GT Orig"/>
      <sheetName val="INDICADOR PERFORMANCE RVA RDE"/>
      <sheetName val="Base Indicador RVA RDE"/>
      <sheetName val="Var Cambial Consol"/>
      <sheetName val="Var Cambial RFD"/>
      <sheetName val="Var Cambial -GOEQUEST"/>
      <sheetName val="Despesas Viagens - Site"/>
      <sheetName val="PDG DRE MENSAL 2022"/>
      <sheetName val="PDG2022 (SIEST)"/>
      <sheetName val="ACOMPANHAMENTO OI CONFIS.."/>
      <sheetName val="Base-PDG2024 (SIEST)"/>
      <sheetName val="Base-PDG DRE MENSAL 2024"/>
      <sheetName val="DFLUX PDG MENSAL 2022"/>
      <sheetName val="Base-DFLUX PDG MENSAL 2024"/>
      <sheetName val="BP 1º T 2023"/>
      <sheetName val="DRE 1º T 2023"/>
      <sheetName val="BP 2º T 2023"/>
      <sheetName val="DRE 2º T 2023"/>
      <sheetName val="BP 3º T 2023"/>
      <sheetName val="DRE 3º T 2023"/>
      <sheetName val="BP 4º T 2023"/>
      <sheetName val="DRE 4º T 2022"/>
      <sheetName val="Base-DRE - PDG 2024 original"/>
      <sheetName val="Base-PDG2024 (SIEST)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O28"/>
  <sheetViews>
    <sheetView tabSelected="1" workbookViewId="0">
      <selection activeCell="A19" sqref="A19"/>
    </sheetView>
  </sheetViews>
  <sheetFormatPr defaultRowHeight="14.5" x14ac:dyDescent="0.35"/>
  <cols>
    <col min="1" max="1" width="28" bestFit="1" customWidth="1"/>
    <col min="2" max="23" width="8.7265625" hidden="1" customWidth="1"/>
    <col min="24" max="24" width="8.81640625" hidden="1" customWidth="1"/>
    <col min="25" max="27" width="8.7265625" hidden="1" customWidth="1"/>
    <col min="28" max="29" width="0" hidden="1" customWidth="1"/>
    <col min="30" max="31" width="6.36328125" hidden="1" customWidth="1"/>
  </cols>
  <sheetData>
    <row r="2" spans="1:4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7" t="s">
        <v>0</v>
      </c>
      <c r="W2" s="7"/>
      <c r="X2" s="7" t="s">
        <v>1</v>
      </c>
      <c r="Y2" s="7"/>
      <c r="Z2" s="7" t="s">
        <v>2</v>
      </c>
      <c r="AA2" s="7"/>
      <c r="AB2" s="7" t="s">
        <v>3</v>
      </c>
      <c r="AC2" s="7"/>
      <c r="AD2" s="7" t="s">
        <v>4</v>
      </c>
      <c r="AE2" s="7"/>
      <c r="AF2" s="7" t="s">
        <v>23</v>
      </c>
      <c r="AG2" s="7"/>
      <c r="AH2" s="7" t="s">
        <v>24</v>
      </c>
      <c r="AI2" s="7"/>
      <c r="AJ2" s="7" t="s">
        <v>25</v>
      </c>
      <c r="AK2" s="7"/>
      <c r="AL2" s="7" t="s">
        <v>26</v>
      </c>
      <c r="AM2" s="7"/>
      <c r="AN2" s="7" t="s">
        <v>27</v>
      </c>
      <c r="AO2" s="7"/>
    </row>
    <row r="3" spans="1:4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  <c r="AF3" s="6" t="s">
        <v>6</v>
      </c>
      <c r="AG3" s="6" t="s">
        <v>7</v>
      </c>
      <c r="AH3" s="6" t="s">
        <v>6</v>
      </c>
      <c r="AI3" s="6" t="s">
        <v>7</v>
      </c>
      <c r="AJ3" s="6" t="s">
        <v>6</v>
      </c>
      <c r="AK3" s="6" t="s">
        <v>7</v>
      </c>
      <c r="AL3" s="6" t="s">
        <v>6</v>
      </c>
      <c r="AM3" s="6" t="s">
        <v>7</v>
      </c>
      <c r="AN3" s="6" t="s">
        <v>6</v>
      </c>
      <c r="AO3" s="6" t="s">
        <v>7</v>
      </c>
    </row>
    <row r="4" spans="1:4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  <c r="AF4" s="3">
        <f t="shared" ref="AF4:AO4" si="1">AF5+AF6</f>
        <v>28.713000000000001</v>
      </c>
      <c r="AG4" s="3">
        <f t="shared" si="1"/>
        <v>20.728999999999999</v>
      </c>
      <c r="AH4" s="3">
        <f t="shared" si="1"/>
        <v>57.399000000000001</v>
      </c>
      <c r="AI4" s="3">
        <f t="shared" si="1"/>
        <v>64.863</v>
      </c>
      <c r="AJ4" s="3">
        <f t="shared" si="1"/>
        <v>0</v>
      </c>
      <c r="AK4" s="3">
        <f t="shared" si="1"/>
        <v>0</v>
      </c>
      <c r="AL4" s="3">
        <f t="shared" si="1"/>
        <v>0</v>
      </c>
      <c r="AM4" s="3">
        <f t="shared" si="1"/>
        <v>0</v>
      </c>
      <c r="AN4" s="3">
        <f t="shared" si="1"/>
        <v>142.23099999999999</v>
      </c>
      <c r="AO4" s="3">
        <f t="shared" si="1"/>
        <v>0</v>
      </c>
    </row>
    <row r="5" spans="1:4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2">AB5</f>
        <v>125.38800000000001</v>
      </c>
      <c r="AE5" s="4">
        <f t="shared" si="2"/>
        <v>129.30500000000001</v>
      </c>
      <c r="AF5">
        <f>25195/1000</f>
        <v>25.195</v>
      </c>
      <c r="AG5">
        <f>16457/1000</f>
        <v>16.457000000000001</v>
      </c>
      <c r="AH5" s="4">
        <f>50390/1000</f>
        <v>50.39</v>
      </c>
      <c r="AI5" s="4">
        <f>57044/1000</f>
        <v>57.043999999999997</v>
      </c>
      <c r="AJ5" s="4"/>
      <c r="AK5" s="4"/>
      <c r="AL5" s="4"/>
      <c r="AM5" s="4"/>
      <c r="AN5" s="4">
        <f>128280/1000</f>
        <v>128.28</v>
      </c>
      <c r="AO5" s="4"/>
    </row>
    <row r="6" spans="1:4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2"/>
        <v>11.903</v>
      </c>
      <c r="AE6" s="4">
        <f t="shared" si="2"/>
        <v>21.498000000000001</v>
      </c>
      <c r="AF6">
        <f>3518/1000</f>
        <v>3.5179999999999998</v>
      </c>
      <c r="AG6">
        <f>4272/1000</f>
        <v>4.2720000000000002</v>
      </c>
      <c r="AH6" s="4">
        <v>7.0090000000000003</v>
      </c>
      <c r="AI6" s="4">
        <v>7.819</v>
      </c>
      <c r="AJ6" s="4"/>
      <c r="AK6" s="4"/>
      <c r="AL6" s="4"/>
      <c r="AM6" s="4"/>
      <c r="AN6" s="4">
        <v>13.951000000000001</v>
      </c>
      <c r="AO6" s="4"/>
    </row>
    <row r="7" spans="1:4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2"/>
        <v>0</v>
      </c>
      <c r="AE7" s="4">
        <f t="shared" si="2"/>
        <v>0</v>
      </c>
      <c r="AF7" s="4">
        <v>0</v>
      </c>
      <c r="AG7" s="4">
        <v>0</v>
      </c>
      <c r="AH7" s="4">
        <v>0</v>
      </c>
      <c r="AI7" s="4">
        <v>0</v>
      </c>
      <c r="AJ7" s="4"/>
      <c r="AK7" s="4"/>
      <c r="AL7" s="4"/>
      <c r="AM7" s="4"/>
      <c r="AN7" s="4">
        <v>0</v>
      </c>
      <c r="AO7" s="4"/>
    </row>
    <row r="8" spans="1:4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G8" si="3">SUM(AB9:AB16)</f>
        <v>136.28099999999998</v>
      </c>
      <c r="AC8" s="3">
        <f t="shared" si="3"/>
        <v>115.56220000000002</v>
      </c>
      <c r="AD8" s="3">
        <f t="shared" si="3"/>
        <v>136.28099999999998</v>
      </c>
      <c r="AE8" s="3">
        <f t="shared" si="3"/>
        <v>115.56220000000002</v>
      </c>
      <c r="AF8" s="3">
        <f t="shared" si="3"/>
        <v>29.510999999999999</v>
      </c>
      <c r="AG8" s="3">
        <f t="shared" si="3"/>
        <v>21.261999999999997</v>
      </c>
      <c r="AH8" s="3">
        <f>SUM(AH9:AH16)</f>
        <v>61.158999999999999</v>
      </c>
      <c r="AI8" s="3">
        <f>SUM(AI9:AI16)</f>
        <v>52.753000000000007</v>
      </c>
      <c r="AJ8" s="3">
        <f>SUM(AJ9:AJ16)</f>
        <v>0</v>
      </c>
      <c r="AK8" s="3">
        <f>SUM(AK9:AK16)</f>
        <v>0</v>
      </c>
      <c r="AL8" s="3">
        <f t="shared" ref="AL8:AO8" si="4">SUM(AL9:AL16)</f>
        <v>0</v>
      </c>
      <c r="AM8" s="3">
        <f t="shared" si="4"/>
        <v>0</v>
      </c>
      <c r="AN8" s="3">
        <f t="shared" si="4"/>
        <v>145.27099999999999</v>
      </c>
      <c r="AO8" s="3">
        <f t="shared" si="4"/>
        <v>0</v>
      </c>
    </row>
    <row r="9" spans="1:4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  <c r="AF9">
        <f>2831/1000</f>
        <v>2.831</v>
      </c>
      <c r="AG9">
        <f>2432/1000</f>
        <v>2.4319999999999999</v>
      </c>
      <c r="AH9">
        <f>8328/1000</f>
        <v>8.3279999999999994</v>
      </c>
      <c r="AI9">
        <f>4971/1000</f>
        <v>4.9710000000000001</v>
      </c>
      <c r="AJ9" s="4"/>
      <c r="AK9" s="4"/>
      <c r="AL9" s="4"/>
      <c r="AM9" s="4"/>
      <c r="AN9" s="4">
        <v>22.161000000000001</v>
      </c>
      <c r="AO9" s="4"/>
    </row>
    <row r="10" spans="1:4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5">AB10</f>
        <v>50.682000000000002</v>
      </c>
      <c r="AE10" s="4">
        <f t="shared" si="5"/>
        <v>47.612000000000002</v>
      </c>
      <c r="AF10">
        <f>(11102+1425+407)/1000</f>
        <v>12.933999999999999</v>
      </c>
      <c r="AG10">
        <f>(10514+999+334)/1000</f>
        <v>11.847</v>
      </c>
      <c r="AH10">
        <f>(22522+2850+813)/1000</f>
        <v>26.184999999999999</v>
      </c>
      <c r="AI10">
        <f>(20894+2311+744)/1000</f>
        <v>23.949000000000002</v>
      </c>
      <c r="AJ10" s="4"/>
      <c r="AK10" s="4"/>
      <c r="AL10" s="4"/>
      <c r="AM10" s="4"/>
      <c r="AN10" s="4">
        <f>SUM(51655+6060+1627)/1000</f>
        <v>59.341999999999999</v>
      </c>
      <c r="AO10" s="4"/>
    </row>
    <row r="11" spans="1:4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5"/>
        <v>33.192999999999998</v>
      </c>
      <c r="AE11" s="4">
        <f t="shared" si="5"/>
        <v>15.1952</v>
      </c>
      <c r="AF11">
        <f>9049/1000</f>
        <v>9.0489999999999995</v>
      </c>
      <c r="AG11">
        <f>3713/1000</f>
        <v>3.7130000000000001</v>
      </c>
      <c r="AH11">
        <f>17341/1000</f>
        <v>17.341000000000001</v>
      </c>
      <c r="AI11">
        <f>8042/1000</f>
        <v>8.0419999999999998</v>
      </c>
      <c r="AJ11" s="4"/>
      <c r="AK11" s="4"/>
      <c r="AL11" s="4"/>
      <c r="AM11" s="4"/>
      <c r="AN11" s="4">
        <f>38181/1000</f>
        <v>38.180999999999997</v>
      </c>
      <c r="AO11" s="4"/>
    </row>
    <row r="12" spans="1:4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5"/>
        <v>0.29299999999999998</v>
      </c>
      <c r="AE12" s="4">
        <f t="shared" si="5"/>
        <v>2.8000000000000001E-2</v>
      </c>
      <c r="AF12">
        <f>31/1000</f>
        <v>3.1E-2</v>
      </c>
      <c r="AG12">
        <f>3/1000</f>
        <v>3.0000000000000001E-3</v>
      </c>
      <c r="AH12">
        <f>49/1000</f>
        <v>4.9000000000000002E-2</v>
      </c>
      <c r="AI12">
        <f>8/1000</f>
        <v>8.0000000000000002E-3</v>
      </c>
      <c r="AJ12" s="4"/>
      <c r="AK12" s="4"/>
      <c r="AL12" s="4"/>
      <c r="AM12" s="4"/>
      <c r="AN12" s="4">
        <v>8.5000000000000006E-2</v>
      </c>
      <c r="AO12" s="4"/>
    </row>
    <row r="13" spans="1:4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5"/>
        <v>0</v>
      </c>
      <c r="AE13" s="4">
        <f t="shared" si="5"/>
        <v>0</v>
      </c>
      <c r="AF13" s="4">
        <v>0</v>
      </c>
      <c r="AG13" s="4">
        <v>0</v>
      </c>
      <c r="AH13" s="4">
        <v>0</v>
      </c>
      <c r="AI13" s="4">
        <v>0</v>
      </c>
      <c r="AJ13" s="4"/>
      <c r="AK13" s="4"/>
      <c r="AL13" s="4"/>
      <c r="AM13" s="4"/>
      <c r="AN13" s="4">
        <v>0</v>
      </c>
      <c r="AO13" s="4"/>
    </row>
    <row r="14" spans="1:4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5"/>
        <v>24.100999999999999</v>
      </c>
      <c r="AE14" s="4">
        <f t="shared" si="5"/>
        <v>37.773000000000003</v>
      </c>
      <c r="AF14">
        <f>3938/1000</f>
        <v>3.9380000000000002</v>
      </c>
      <c r="AG14">
        <f>2554/1000</f>
        <v>2.5539999999999998</v>
      </c>
      <c r="AH14">
        <f>7689/1000</f>
        <v>7.6890000000000001</v>
      </c>
      <c r="AI14">
        <f>13600/1000</f>
        <v>13.6</v>
      </c>
      <c r="AJ14" s="4"/>
      <c r="AK14" s="4"/>
      <c r="AL14" s="4"/>
      <c r="AM14" s="4"/>
      <c r="AN14" s="4">
        <v>22.492999999999999</v>
      </c>
      <c r="AO14" s="4"/>
    </row>
    <row r="15" spans="1:4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5"/>
        <v>1.0580000000000001</v>
      </c>
      <c r="AE15" s="4">
        <f t="shared" si="5"/>
        <v>1.5109999999999999</v>
      </c>
      <c r="AF15">
        <f>218/1000</f>
        <v>0.218</v>
      </c>
      <c r="AG15">
        <f>351/1000</f>
        <v>0.35099999999999998</v>
      </c>
      <c r="AH15">
        <f>412/1000</f>
        <v>0.41199999999999998</v>
      </c>
      <c r="AI15">
        <f>1076/1000</f>
        <v>1.0760000000000001</v>
      </c>
      <c r="AJ15" s="4"/>
      <c r="AK15" s="4"/>
      <c r="AL15" s="4"/>
      <c r="AM15" s="4"/>
      <c r="AN15" s="4">
        <v>0.73</v>
      </c>
      <c r="AO15" s="4"/>
    </row>
    <row r="16" spans="1:4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5"/>
        <v>2.819</v>
      </c>
      <c r="AE16" s="4">
        <f t="shared" si="5"/>
        <v>1.524</v>
      </c>
      <c r="AF16">
        <f>510/1000</f>
        <v>0.51</v>
      </c>
      <c r="AG16">
        <f>362/1000</f>
        <v>0.36199999999999999</v>
      </c>
      <c r="AH16">
        <f>1155/1000</f>
        <v>1.155</v>
      </c>
      <c r="AI16">
        <f>1107/1000</f>
        <v>1.107</v>
      </c>
      <c r="AJ16" s="4"/>
      <c r="AK16" s="4"/>
      <c r="AL16" s="4"/>
      <c r="AM16" s="4"/>
      <c r="AN16" s="4">
        <v>2.2789999999999999</v>
      </c>
      <c r="AO16" s="4"/>
    </row>
    <row r="17" spans="1:35" x14ac:dyDescent="0.35">
      <c r="AH17" s="4"/>
      <c r="AI17" s="4"/>
    </row>
    <row r="18" spans="1:35" x14ac:dyDescent="0.35">
      <c r="A18" t="s">
        <v>22</v>
      </c>
      <c r="X18" s="4"/>
      <c r="AB18" s="4"/>
      <c r="AC18" s="4"/>
    </row>
    <row r="19" spans="1:35" x14ac:dyDescent="0.35">
      <c r="X19" s="4"/>
    </row>
    <row r="20" spans="1:35" x14ac:dyDescent="0.35">
      <c r="X20" s="4"/>
    </row>
    <row r="28" spans="1:35" x14ac:dyDescent="0.35">
      <c r="AA28" s="5"/>
    </row>
  </sheetData>
  <mergeCells count="10"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28C94-E47E-4DA3-9163-DA8FE41E44BE}">
  <ds:schemaRefs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78bc998a-26d0-41a5-a3ff-3844a0b5771c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2024-08-12T13:05:47Z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